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filterPrivacy="1" defaultThemeVersion="166925"/>
  <xr:revisionPtr revIDLastSave="0" documentId="13_ncr:1_{8D245348-681C-B24A-8C2C-DB12CEEBF78D}" xr6:coauthVersionLast="47" xr6:coauthVersionMax="47" xr10:uidLastSave="{00000000-0000-0000-0000-000000000000}"/>
  <bookViews>
    <workbookView xWindow="0" yWindow="500" windowWidth="33600" windowHeight="20500" xr2:uid="{00000000-000D-0000-FFFF-FFFF00000000}"/>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37" i="1" l="1"/>
  <c r="AL37" i="1"/>
  <c r="AM31" i="1"/>
  <c r="AM34" i="1" s="1"/>
  <c r="AL31" i="1"/>
  <c r="AH31" i="1"/>
  <c r="AH34" i="1" s="1"/>
  <c r="AH37" i="1"/>
  <c r="I31" i="1"/>
  <c r="C31" i="1"/>
  <c r="V31" i="1"/>
  <c r="V34" i="1" s="1"/>
  <c r="T31" i="1"/>
  <c r="T34" i="1" s="1"/>
  <c r="R31" i="1"/>
  <c r="R34" i="1" s="1"/>
  <c r="U37" i="1"/>
  <c r="U31" i="1"/>
  <c r="U34" i="1" s="1"/>
  <c r="T37" i="1"/>
  <c r="R37" i="1"/>
  <c r="Z37" i="1"/>
  <c r="S31" i="1"/>
  <c r="S34" i="1" s="1"/>
  <c r="V37" i="1"/>
  <c r="S37" i="1"/>
  <c r="Q31" i="1"/>
  <c r="Q34" i="1" s="1"/>
  <c r="Q37" i="1"/>
  <c r="M32" i="1" l="1"/>
  <c r="C34" i="1"/>
  <c r="M37" i="1"/>
  <c r="K37" i="1"/>
  <c r="I37" i="1"/>
  <c r="E37" i="1"/>
  <c r="C37" i="1"/>
  <c r="I11" i="1"/>
  <c r="C9" i="1"/>
  <c r="C11" i="1" s="1"/>
  <c r="AL33" i="1" l="1"/>
  <c r="AL34" i="1" s="1"/>
  <c r="AM38" i="1"/>
  <c r="AM39" i="1" s="1"/>
  <c r="AM41" i="1" s="1"/>
  <c r="C22" i="1" s="1"/>
  <c r="AL38" i="1"/>
  <c r="AL39" i="1" s="1"/>
  <c r="AH38" i="1"/>
  <c r="AH39" i="1" s="1"/>
  <c r="D14" i="1"/>
  <c r="AH41" i="1"/>
  <c r="C20" i="1" s="1"/>
  <c r="I33" i="1"/>
  <c r="I34" i="1" s="1"/>
  <c r="K33" i="1"/>
  <c r="K34" i="1" s="1"/>
  <c r="M33" i="1"/>
  <c r="M34" i="1" s="1"/>
  <c r="AD33" i="1"/>
  <c r="AD34" i="1" s="1"/>
  <c r="AC35" i="1"/>
  <c r="AD43" i="1" s="1"/>
  <c r="D19" i="1" s="1"/>
  <c r="Z33" i="1"/>
  <c r="Z34" i="1" s="1"/>
  <c r="S47" i="1"/>
  <c r="Q38" i="1"/>
  <c r="Q39" i="1" s="1"/>
  <c r="Q41" i="1" s="1"/>
  <c r="R47" i="1"/>
  <c r="Q47" i="1"/>
  <c r="E47" i="1"/>
  <c r="C47" i="1"/>
  <c r="U47" i="1"/>
  <c r="V38" i="1"/>
  <c r="V39" i="1" s="1"/>
  <c r="V41" i="1" s="1"/>
  <c r="U38" i="1"/>
  <c r="U39" i="1" s="1"/>
  <c r="U41" i="1" s="1"/>
  <c r="Z47" i="1"/>
  <c r="S38" i="1"/>
  <c r="S39" i="1" s="1"/>
  <c r="S41" i="1" s="1"/>
  <c r="T47" i="1"/>
  <c r="Z38" i="1"/>
  <c r="Z39" i="1" s="1"/>
  <c r="T38" i="1"/>
  <c r="T39" i="1" s="1"/>
  <c r="T41" i="1" s="1"/>
  <c r="V47" i="1"/>
  <c r="R38" i="1"/>
  <c r="R39" i="1" s="1"/>
  <c r="R41" i="1"/>
  <c r="C17" i="1" s="1"/>
  <c r="E33" i="1"/>
  <c r="E34" i="1" s="1"/>
  <c r="M38" i="1"/>
  <c r="M39" i="1" s="1"/>
  <c r="C38" i="1"/>
  <c r="C39" i="1" s="1"/>
  <c r="C41" i="1" s="1"/>
  <c r="E38" i="1"/>
  <c r="E39" i="1" s="1"/>
  <c r="K38" i="1"/>
  <c r="K39" i="1" s="1"/>
  <c r="K45" i="1" s="1"/>
  <c r="I38" i="1"/>
  <c r="I39" i="1" s="1"/>
  <c r="AL41" i="1" l="1"/>
  <c r="C21" i="1" s="1"/>
  <c r="I41" i="1"/>
  <c r="M46" i="1"/>
  <c r="I46" i="1"/>
  <c r="D20" i="1"/>
  <c r="D21" i="1" s="1"/>
  <c r="D22" i="1" s="1"/>
  <c r="D17" i="1"/>
  <c r="D18" i="1" s="1"/>
  <c r="D15" i="1"/>
  <c r="K46" i="1"/>
  <c r="D16" i="1" s="1"/>
  <c r="M45" i="1"/>
  <c r="C16" i="1" s="1"/>
  <c r="K41" i="1"/>
  <c r="I45" i="1"/>
  <c r="Z41" i="1"/>
  <c r="C18" i="1" s="1"/>
  <c r="AD41" i="1"/>
  <c r="C19" i="1" s="1"/>
  <c r="E41" i="1"/>
  <c r="C14" i="1" s="1"/>
  <c r="M41" i="1"/>
  <c r="C15" i="1" s="1"/>
</calcChain>
</file>

<file path=xl/sharedStrings.xml><?xml version="1.0" encoding="utf-8"?>
<sst xmlns="http://schemas.openxmlformats.org/spreadsheetml/2006/main" count="136" uniqueCount="69">
  <si>
    <t>Average price per ticket</t>
  </si>
  <si>
    <t>£</t>
  </si>
  <si>
    <t>Number of orders</t>
  </si>
  <si>
    <t>Average number of tickets per order</t>
  </si>
  <si>
    <t>Average order value</t>
  </si>
  <si>
    <t>Total takings before fees</t>
  </si>
  <si>
    <t>Annual plan</t>
  </si>
  <si>
    <t>Fixed fee</t>
  </si>
  <si>
    <t>Per ticket plan</t>
  </si>
  <si>
    <t>Total number of tickets</t>
  </si>
  <si>
    <t>25p/ticket</t>
  </si>
  <si>
    <t>Per ticket</t>
  </si>
  <si>
    <t>Card fees (assuming Stripe as the cheapest)</t>
  </si>
  <si>
    <t>20p/transaction</t>
  </si>
  <si>
    <t>1.2% of value</t>
  </si>
  <si>
    <t>Total card fees</t>
  </si>
  <si>
    <t>Total charged by platform</t>
  </si>
  <si>
    <t>Net profit</t>
  </si>
  <si>
    <t>Number of pupils in school</t>
  </si>
  <si>
    <t>inc. scanning</t>
  </si>
  <si>
    <t>Qflow scanning fee</t>
  </si>
  <si>
    <t>No scanning</t>
  </si>
  <si>
    <t>Free plan</t>
  </si>
  <si>
    <t>(assumes you subscribe for the full year at their charity rate)</t>
  </si>
  <si>
    <t>Scanning is included</t>
  </si>
  <si>
    <t>month</t>
  </si>
  <si>
    <t>301-800 spaces/</t>
  </si>
  <si>
    <t>801-1800 spaces/</t>
  </si>
  <si>
    <t>Up to 300 spaces/</t>
  </si>
  <si>
    <t>PTA Events has a subscription plan, which varies depending on the size of your school, and a free plan. By default the free plan doesn't include scanning; you can pay extra for that which depends on the size of school.</t>
  </si>
  <si>
    <t>Assumes Stripe charity rate applied for and granted; Stripe non-charity rate and Paypal charity and non-charity rates are higher - and that you are a registered charity and therefore have applied for charity/PTA rates as applicable.</t>
  </si>
  <si>
    <t>All sites pass on the credit card processing fees. I've assumed Stripe as this is always cheaper than PayPal (even the Stripe non-charity rate is no more than the PayPal charity rate)</t>
  </si>
  <si>
    <t>Paypal is not an option</t>
  </si>
  <si>
    <t>PayPal charity rate is an extra</t>
  </si>
  <si>
    <t>EventBrite</t>
  </si>
  <si>
    <t>EventBrite is a well known brand, but has no charity/nonprofit rate. Their platform is comparatively expensive. There's a more expensive option if you were running a masssive event e.g. a festival that needs seating maps. EventBrite fees need VAT added. Scanning included.</t>
  </si>
  <si>
    <t xml:space="preserve">Monthly </t>
  </si>
  <si>
    <t>Annual</t>
  </si>
  <si>
    <t>Bookwhen's service has a monthly subscription. It depends on the peak number of spaces you sell in a month. Headline fees need VAT adding BUT they offer a 20% discount for charities and nonprofits. The "Monthly" assumes you're on the monthly plan, which I believe allows you to move up and down over the year. The annual plan is if you pay for a full year (12 months for the price of 10 but cannot cancel early).</t>
  </si>
  <si>
    <t>Ticket Tailor has two options - an annual plan where you pay a fixed fee or a per ticket plan where you pay for Ticket Tailor's services per ticket sold. TicketTailor's prices are exclusive of VAT, so the above adds VAT</t>
  </si>
  <si>
    <t>PayPal charity rate is extra</t>
  </si>
  <si>
    <t>Scanning included free</t>
  </si>
  <si>
    <t>Bookwhen</t>
  </si>
  <si>
    <t>PTA Events</t>
  </si>
  <si>
    <t>Ticket Tailor</t>
  </si>
  <si>
    <t>No fixed fee</t>
  </si>
  <si>
    <t>You use this spreadsheet at your own risk. You should perform your own assessment of the costs and compare this with the other benefits and features offered before making any decisions.</t>
  </si>
  <si>
    <t>Tryboooking</t>
  </si>
  <si>
    <t>No fxed fee</t>
  </si>
  <si>
    <t>(cardholders pay</t>
  </si>
  <si>
    <t>Card fees included in platform</t>
  </si>
  <si>
    <t>% of parents choosing to pay fees</t>
  </si>
  <si>
    <t>If parents pay some of fees</t>
  </si>
  <si>
    <t>Cost to pareents</t>
  </si>
  <si>
    <t>Cost to parents</t>
  </si>
  <si>
    <t>Wix</t>
  </si>
  <si>
    <t>£15pm+VAT for entry eCommerce</t>
  </si>
  <si>
    <t>Summary</t>
  </si>
  <si>
    <t>Bookwhen 300 places</t>
  </si>
  <si>
    <t>Trybooking</t>
  </si>
  <si>
    <t>PTA Events parents pay %</t>
  </si>
  <si>
    <t>Ticket Tailor per ticket plan</t>
  </si>
  <si>
    <t>PTA Events fees absorbed by PTA</t>
  </si>
  <si>
    <t>Squarespace</t>
  </si>
  <si>
    <t>Business</t>
  </si>
  <si>
    <t>Commerce</t>
  </si>
  <si>
    <t>SquareSpace Business</t>
  </si>
  <si>
    <t>SquareSpace Commerce</t>
  </si>
  <si>
    <t>Based on quoted prices by Ticket Tailor, PTA Events, Bookwhen and Stripe and VAT rates as at 1/10/2022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</si>
</sst>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4" x14ac:knownFonts="1">
    <font>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53">
    <xf numFmtId="0" fontId="0" fillId="0" borderId="0" xfId="0"/>
    <xf numFmtId="0" fontId="2" fillId="0" borderId="0" xfId="0" applyFont="1"/>
    <xf numFmtId="0" fontId="3" fillId="0" borderId="0" xfId="0" applyFont="1"/>
    <xf numFmtId="43" fontId="3" fillId="0" borderId="0" xfId="1" applyFont="1" applyAlignment="1">
      <alignment horizontal="right"/>
    </xf>
    <xf numFmtId="43" fontId="3" fillId="0" borderId="0" xfId="1" applyFont="1" applyFill="1" applyAlignment="1">
      <alignment horizontal="right"/>
    </xf>
    <xf numFmtId="0" fontId="3" fillId="0" borderId="0" xfId="0" applyFont="1" applyAlignment="1">
      <alignment horizontal="right"/>
    </xf>
    <xf numFmtId="0" fontId="3" fillId="0" borderId="0" xfId="0" applyFont="1" applyAlignment="1">
      <alignment wrapText="1"/>
    </xf>
    <xf numFmtId="0" fontId="3" fillId="0" borderId="0" xfId="0" applyFont="1" applyAlignment="1">
      <alignment horizontal="right" wrapText="1"/>
    </xf>
    <xf numFmtId="43" fontId="3" fillId="2" borderId="0" xfId="1" applyFont="1" applyFill="1" applyAlignment="1">
      <alignment horizontal="right"/>
    </xf>
    <xf numFmtId="0" fontId="3" fillId="2" borderId="0" xfId="0" applyFont="1" applyFill="1"/>
    <xf numFmtId="43" fontId="3" fillId="3" borderId="0" xfId="1" applyFont="1" applyFill="1" applyAlignment="1">
      <alignment horizontal="right"/>
    </xf>
    <xf numFmtId="0" fontId="3" fillId="3" borderId="0" xfId="0" applyFont="1" applyFill="1"/>
    <xf numFmtId="0" fontId="3" fillId="0" borderId="6" xfId="0" applyFont="1" applyBorder="1"/>
    <xf numFmtId="43" fontId="3" fillId="0" borderId="0" xfId="1" applyFont="1" applyBorder="1" applyAlignment="1">
      <alignment horizontal="right"/>
    </xf>
    <xf numFmtId="43" fontId="3" fillId="0" borderId="0" xfId="1" applyFont="1" applyFill="1" applyBorder="1" applyAlignment="1">
      <alignment horizontal="right"/>
    </xf>
    <xf numFmtId="43" fontId="3" fillId="0" borderId="7" xfId="1" applyFont="1" applyBorder="1" applyAlignment="1">
      <alignment horizontal="right"/>
    </xf>
    <xf numFmtId="0" fontId="3" fillId="0" borderId="7" xfId="0" applyFont="1" applyBorder="1"/>
    <xf numFmtId="0" fontId="3" fillId="0" borderId="7" xfId="0" applyFont="1" applyBorder="1" applyAlignment="1">
      <alignment horizontal="right"/>
    </xf>
    <xf numFmtId="43" fontId="3" fillId="0" borderId="1" xfId="1" applyFont="1" applyBorder="1" applyAlignment="1">
      <alignment horizontal="right"/>
    </xf>
    <xf numFmtId="43" fontId="3" fillId="0" borderId="8" xfId="1" applyFont="1" applyBorder="1" applyAlignment="1">
      <alignment horizontal="right"/>
    </xf>
    <xf numFmtId="43" fontId="3" fillId="0" borderId="2" xfId="1" applyFont="1" applyBorder="1" applyAlignment="1">
      <alignment horizontal="right"/>
    </xf>
    <xf numFmtId="43" fontId="3" fillId="0" borderId="9" xfId="1" applyFont="1" applyBorder="1" applyAlignment="1">
      <alignment horizontal="right"/>
    </xf>
    <xf numFmtId="43" fontId="3" fillId="0" borderId="7" xfId="1" quotePrefix="1" applyFont="1" applyBorder="1" applyAlignment="1">
      <alignment horizontal="right"/>
    </xf>
    <xf numFmtId="0" fontId="2" fillId="0" borderId="3" xfId="0" applyFont="1" applyBorder="1"/>
    <xf numFmtId="0" fontId="2" fillId="0" borderId="4" xfId="0" applyFont="1" applyBorder="1"/>
    <xf numFmtId="43" fontId="2" fillId="0" borderId="4" xfId="1" applyFont="1" applyBorder="1" applyAlignment="1">
      <alignment horizontal="right"/>
    </xf>
    <xf numFmtId="43" fontId="2" fillId="0" borderId="4" xfId="1" applyFont="1" applyFill="1" applyBorder="1" applyAlignment="1">
      <alignment horizontal="right"/>
    </xf>
    <xf numFmtId="43" fontId="2" fillId="0" borderId="5" xfId="1" applyFont="1" applyBorder="1" applyAlignment="1">
      <alignment horizontal="right"/>
    </xf>
    <xf numFmtId="0" fontId="2" fillId="0" borderId="5" xfId="0" applyFont="1" applyBorder="1"/>
    <xf numFmtId="0" fontId="2" fillId="0" borderId="4" xfId="0" applyFont="1" applyBorder="1" applyAlignment="1">
      <alignment horizontal="right"/>
    </xf>
    <xf numFmtId="0" fontId="2" fillId="0" borderId="5" xfId="0" applyFont="1" applyBorder="1" applyAlignment="1">
      <alignment horizontal="right"/>
    </xf>
    <xf numFmtId="43" fontId="3" fillId="0" borderId="0" xfId="0" applyNumberFormat="1" applyFont="1"/>
    <xf numFmtId="10" fontId="3" fillId="3" borderId="0" xfId="0" applyNumberFormat="1" applyFont="1" applyFill="1"/>
    <xf numFmtId="0" fontId="3" fillId="0" borderId="6" xfId="0" quotePrefix="1" applyFont="1" applyBorder="1"/>
    <xf numFmtId="43" fontId="3" fillId="0" borderId="7" xfId="1" applyFont="1" applyBorder="1"/>
    <xf numFmtId="43" fontId="3" fillId="0" borderId="8" xfId="1" applyFont="1" applyBorder="1"/>
    <xf numFmtId="43" fontId="3" fillId="0" borderId="9" xfId="1" applyFont="1" applyBorder="1"/>
    <xf numFmtId="0" fontId="3" fillId="0" borderId="10" xfId="0" applyFont="1" applyBorder="1"/>
    <xf numFmtId="0" fontId="3" fillId="0" borderId="1" xfId="0" applyFont="1" applyBorder="1"/>
    <xf numFmtId="0" fontId="3" fillId="0" borderId="8" xfId="0" applyFont="1" applyBorder="1"/>
    <xf numFmtId="0" fontId="3" fillId="0" borderId="3" xfId="0" applyFont="1" applyBorder="1"/>
    <xf numFmtId="43" fontId="2" fillId="0" borderId="0" xfId="1" applyFont="1" applyAlignment="1">
      <alignment horizontal="right"/>
    </xf>
    <xf numFmtId="43" fontId="2" fillId="0" borderId="0" xfId="1" applyFont="1" applyFill="1" applyAlignment="1">
      <alignment horizontal="right"/>
    </xf>
    <xf numFmtId="43" fontId="3" fillId="0" borderId="1" xfId="0" applyNumberFormat="1" applyFont="1" applyBorder="1"/>
    <xf numFmtId="0" fontId="2" fillId="0" borderId="0" xfId="0" applyFont="1" applyAlignment="1">
      <alignment wrapText="1"/>
    </xf>
    <xf numFmtId="0" fontId="3" fillId="0" borderId="10" xfId="0" applyFont="1"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3" fillId="0" borderId="0" xfId="0" applyFont="1" applyAlignment="1">
      <alignment horizontal="center"/>
    </xf>
    <xf numFmtId="0" fontId="3" fillId="0" borderId="7" xfId="0" applyFont="1" applyBorder="1" applyAlignment="1">
      <alignment horizontal="center"/>
    </xf>
    <xf numFmtId="43" fontId="3" fillId="0" borderId="0" xfId="1" quotePrefix="1" applyFont="1" applyBorder="1" applyAlignment="1">
      <alignment horizontal="center"/>
    </xf>
    <xf numFmtId="0" fontId="3" fillId="0" borderId="1" xfId="0" applyFont="1" applyBorder="1" applyAlignment="1">
      <alignment vertical="top" wrapText="1"/>
    </xf>
    <xf numFmtId="0" fontId="3" fillId="0" borderId="8" xfId="0" applyFont="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Sheet1!$B$13</c:f>
              <c:strCache>
                <c:ptCount val="1"/>
              </c:strCache>
            </c:strRef>
          </c:tx>
          <c:spPr>
            <a:solidFill>
              <a:schemeClr val="accent1"/>
            </a:solidFill>
            <a:ln>
              <a:noFill/>
            </a:ln>
            <a:effectLst/>
          </c:spPr>
          <c:invertIfNegative val="0"/>
          <c:cat>
            <c:strRef>
              <c:f>Sheet1!$A$14:$A$22</c:f>
              <c:strCache>
                <c:ptCount val="9"/>
                <c:pt idx="0">
                  <c:v>Ticket Tailor per ticket plan</c:v>
                </c:pt>
                <c:pt idx="1">
                  <c:v>PTA Events fees absorbed by PTA</c:v>
                </c:pt>
                <c:pt idx="2">
                  <c:v>PTA Events parents pay %</c:v>
                </c:pt>
                <c:pt idx="3">
                  <c:v>Bookwhen 300 places</c:v>
                </c:pt>
                <c:pt idx="4">
                  <c:v>EventBrite</c:v>
                </c:pt>
                <c:pt idx="5">
                  <c:v>Trybooking</c:v>
                </c:pt>
                <c:pt idx="6">
                  <c:v>Wix</c:v>
                </c:pt>
                <c:pt idx="7">
                  <c:v>SquareSpace Business</c:v>
                </c:pt>
                <c:pt idx="8">
                  <c:v>SquareSpace Commerce</c:v>
                </c:pt>
              </c:strCache>
            </c:strRef>
          </c:cat>
          <c:val>
            <c:numRef>
              <c:f>Sheet1!$B$14:$B$22</c:f>
              <c:numCache>
                <c:formatCode>General</c:formatCode>
                <c:ptCount val="9"/>
              </c:numCache>
            </c:numRef>
          </c:val>
          <c:extLst>
            <c:ext xmlns:c16="http://schemas.microsoft.com/office/drawing/2014/chart" uri="{C3380CC4-5D6E-409C-BE32-E72D297353CC}">
              <c16:uniqueId val="{00000000-2B5B-6E44-AFBB-996F7F3969C1}"/>
            </c:ext>
          </c:extLst>
        </c:ser>
        <c:ser>
          <c:idx val="1"/>
          <c:order val="1"/>
          <c:tx>
            <c:strRef>
              <c:f>Sheet1!$C$13</c:f>
              <c:strCache>
                <c:ptCount val="1"/>
                <c:pt idx="0">
                  <c:v> Net profit </c:v>
                </c:pt>
              </c:strCache>
            </c:strRef>
          </c:tx>
          <c:spPr>
            <a:solidFill>
              <a:schemeClr val="accent2"/>
            </a:solidFill>
            <a:ln>
              <a:noFill/>
            </a:ln>
            <a:effectLst/>
          </c:spPr>
          <c:invertIfNegative val="0"/>
          <c:cat>
            <c:strRef>
              <c:f>Sheet1!$A$14:$A$22</c:f>
              <c:strCache>
                <c:ptCount val="9"/>
                <c:pt idx="0">
                  <c:v>Ticket Tailor per ticket plan</c:v>
                </c:pt>
                <c:pt idx="1">
                  <c:v>PTA Events fees absorbed by PTA</c:v>
                </c:pt>
                <c:pt idx="2">
                  <c:v>PTA Events parents pay %</c:v>
                </c:pt>
                <c:pt idx="3">
                  <c:v>Bookwhen 300 places</c:v>
                </c:pt>
                <c:pt idx="4">
                  <c:v>EventBrite</c:v>
                </c:pt>
                <c:pt idx="5">
                  <c:v>Trybooking</c:v>
                </c:pt>
                <c:pt idx="6">
                  <c:v>Wix</c:v>
                </c:pt>
                <c:pt idx="7">
                  <c:v>SquareSpace Business</c:v>
                </c:pt>
                <c:pt idx="8">
                  <c:v>SquareSpace Commerce</c:v>
                </c:pt>
              </c:strCache>
            </c:strRef>
          </c:cat>
          <c:val>
            <c:numRef>
              <c:f>Sheet1!$C$14:$C$22</c:f>
              <c:numCache>
                <c:formatCode>_(* #,##0.00_);_(* \(#,##0.00\);_(* "-"??_);_(@_)</c:formatCode>
                <c:ptCount val="9"/>
                <c:pt idx="0">
                  <c:v>2724</c:v>
                </c:pt>
                <c:pt idx="1">
                  <c:v>2770.5</c:v>
                </c:pt>
                <c:pt idx="2">
                  <c:v>2944.65</c:v>
                </c:pt>
                <c:pt idx="3">
                  <c:v>2817.6</c:v>
                </c:pt>
                <c:pt idx="4">
                  <c:v>2425.1999999999998</c:v>
                </c:pt>
                <c:pt idx="5">
                  <c:v>2850</c:v>
                </c:pt>
                <c:pt idx="6">
                  <c:v>2688</c:v>
                </c:pt>
                <c:pt idx="7">
                  <c:v>2679</c:v>
                </c:pt>
                <c:pt idx="8">
                  <c:v>2724</c:v>
                </c:pt>
              </c:numCache>
            </c:numRef>
          </c:val>
          <c:extLst>
            <c:ext xmlns:c16="http://schemas.microsoft.com/office/drawing/2014/chart" uri="{C3380CC4-5D6E-409C-BE32-E72D297353CC}">
              <c16:uniqueId val="{00000001-2B5B-6E44-AFBB-996F7F3969C1}"/>
            </c:ext>
          </c:extLst>
        </c:ser>
        <c:ser>
          <c:idx val="2"/>
          <c:order val="2"/>
          <c:tx>
            <c:strRef>
              <c:f>Sheet1!$D$13</c:f>
              <c:strCache>
                <c:ptCount val="1"/>
                <c:pt idx="0">
                  <c:v> Cost to parents </c:v>
                </c:pt>
              </c:strCache>
            </c:strRef>
          </c:tx>
          <c:spPr>
            <a:solidFill>
              <a:schemeClr val="accent3"/>
            </a:solidFill>
            <a:ln>
              <a:noFill/>
            </a:ln>
            <a:effectLst/>
          </c:spPr>
          <c:invertIfNegative val="0"/>
          <c:cat>
            <c:strRef>
              <c:f>Sheet1!$A$14:$A$22</c:f>
              <c:strCache>
                <c:ptCount val="9"/>
                <c:pt idx="0">
                  <c:v>Ticket Tailor per ticket plan</c:v>
                </c:pt>
                <c:pt idx="1">
                  <c:v>PTA Events fees absorbed by PTA</c:v>
                </c:pt>
                <c:pt idx="2">
                  <c:v>PTA Events parents pay %</c:v>
                </c:pt>
                <c:pt idx="3">
                  <c:v>Bookwhen 300 places</c:v>
                </c:pt>
                <c:pt idx="4">
                  <c:v>EventBrite</c:v>
                </c:pt>
                <c:pt idx="5">
                  <c:v>Trybooking</c:v>
                </c:pt>
                <c:pt idx="6">
                  <c:v>Wix</c:v>
                </c:pt>
                <c:pt idx="7">
                  <c:v>SquareSpace Business</c:v>
                </c:pt>
                <c:pt idx="8">
                  <c:v>SquareSpace Commerce</c:v>
                </c:pt>
              </c:strCache>
            </c:strRef>
          </c:cat>
          <c:val>
            <c:numRef>
              <c:f>Sheet1!$D$14:$D$22</c:f>
              <c:numCache>
                <c:formatCode>_(* #,##0.00_);_(* \(#,##0.00\);_(* "-"??_);_(@_)</c:formatCode>
                <c:ptCount val="9"/>
                <c:pt idx="0">
                  <c:v>3000</c:v>
                </c:pt>
                <c:pt idx="1">
                  <c:v>3000</c:v>
                </c:pt>
                <c:pt idx="2">
                  <c:v>3129.15</c:v>
                </c:pt>
                <c:pt idx="3">
                  <c:v>3000</c:v>
                </c:pt>
                <c:pt idx="4">
                  <c:v>3000</c:v>
                </c:pt>
                <c:pt idx="5">
                  <c:v>3090</c:v>
                </c:pt>
                <c:pt idx="6">
                  <c:v>3000</c:v>
                </c:pt>
                <c:pt idx="7">
                  <c:v>3000</c:v>
                </c:pt>
                <c:pt idx="8">
                  <c:v>3000</c:v>
                </c:pt>
              </c:numCache>
            </c:numRef>
          </c:val>
          <c:extLst>
            <c:ext xmlns:c16="http://schemas.microsoft.com/office/drawing/2014/chart" uri="{C3380CC4-5D6E-409C-BE32-E72D297353CC}">
              <c16:uniqueId val="{00000002-2B5B-6E44-AFBB-996F7F3969C1}"/>
            </c:ext>
          </c:extLst>
        </c:ser>
        <c:dLbls>
          <c:showLegendKey val="0"/>
          <c:showVal val="0"/>
          <c:showCatName val="0"/>
          <c:showSerName val="0"/>
          <c:showPercent val="0"/>
          <c:showBubbleSize val="0"/>
        </c:dLbls>
        <c:gapWidth val="219"/>
        <c:overlap val="-27"/>
        <c:axId val="1559813904"/>
        <c:axId val="1530669680"/>
      </c:barChart>
      <c:catAx>
        <c:axId val="155981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30669680"/>
        <c:crosses val="autoZero"/>
        <c:auto val="1"/>
        <c:lblAlgn val="ctr"/>
        <c:lblOffset val="100"/>
        <c:noMultiLvlLbl val="0"/>
      </c:catAx>
      <c:valAx>
        <c:axId val="15306696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5981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6350</xdr:colOff>
      <xdr:row>5</xdr:row>
      <xdr:rowOff>19050</xdr:rowOff>
    </xdr:from>
    <xdr:to>
      <xdr:col>20</xdr:col>
      <xdr:colOff>514350</xdr:colOff>
      <xdr:row>22</xdr:row>
      <xdr:rowOff>95250</xdr:rowOff>
    </xdr:to>
    <xdr:graphicFrame macro="">
      <xdr:nvGraphicFramePr>
        <xdr:cNvPr id="2" name="Chart 1">
          <a:extLst>
            <a:ext uri="{FF2B5EF4-FFF2-40B4-BE49-F238E27FC236}">
              <a16:creationId xmlns:a16="http://schemas.microsoft.com/office/drawing/2014/main" id="{B2711952-0BCD-5A5B-15EB-186C6D72DF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8"/>
  <sheetViews>
    <sheetView tabSelected="1" workbookViewId="0">
      <selection sqref="A1:XFD1"/>
    </sheetView>
  </sheetViews>
  <sheetFormatPr baseColWidth="10" defaultColWidth="10.6640625" defaultRowHeight="14" x14ac:dyDescent="0.2"/>
  <cols>
    <col min="1" max="2" width="10.6640625" style="2"/>
    <col min="3" max="3" width="10.83203125" style="3"/>
    <col min="4" max="4" width="10.83203125" style="4"/>
    <col min="5" max="5" width="10.83203125" style="3"/>
    <col min="6" max="12" width="10.6640625" style="2"/>
    <col min="13" max="13" width="10.83203125" style="2" customWidth="1"/>
    <col min="14" max="16" width="10.6640625" style="2"/>
    <col min="17" max="22" width="10.6640625" style="5"/>
    <col min="23" max="16384" width="10.6640625" style="2"/>
  </cols>
  <sheetData>
    <row r="1" spans="1:22" x14ac:dyDescent="0.2">
      <c r="A1" s="1" t="s">
        <v>68</v>
      </c>
    </row>
    <row r="2" spans="1:22" s="6" customFormat="1" ht="46.5" customHeight="1" x14ac:dyDescent="0.2">
      <c r="A2" s="44" t="s">
        <v>30</v>
      </c>
      <c r="B2" s="44"/>
      <c r="C2" s="44"/>
      <c r="D2" s="44"/>
      <c r="E2" s="44"/>
      <c r="F2" s="44"/>
      <c r="G2" s="44"/>
      <c r="Q2" s="7"/>
      <c r="R2" s="7"/>
      <c r="S2" s="7"/>
      <c r="T2" s="7"/>
      <c r="U2" s="7"/>
      <c r="V2" s="7"/>
    </row>
    <row r="3" spans="1:22" s="6" customFormat="1" ht="32.5" customHeight="1" x14ac:dyDescent="0.2">
      <c r="A3" s="44" t="s">
        <v>31</v>
      </c>
      <c r="B3" s="44"/>
      <c r="C3" s="44"/>
      <c r="D3" s="44"/>
      <c r="E3" s="44"/>
      <c r="F3" s="44"/>
      <c r="G3" s="44"/>
      <c r="Q3" s="7"/>
      <c r="R3" s="7"/>
      <c r="S3" s="7"/>
      <c r="T3" s="7"/>
      <c r="U3" s="7"/>
      <c r="V3" s="7"/>
    </row>
    <row r="4" spans="1:22" s="6" customFormat="1" ht="32.5" customHeight="1" x14ac:dyDescent="0.2">
      <c r="A4" s="44" t="s">
        <v>46</v>
      </c>
      <c r="B4" s="44"/>
      <c r="C4" s="44"/>
      <c r="D4" s="44"/>
      <c r="E4" s="44"/>
      <c r="F4" s="44"/>
      <c r="G4" s="44"/>
      <c r="Q4" s="7"/>
      <c r="R4" s="7"/>
      <c r="S4" s="7"/>
      <c r="T4" s="7"/>
      <c r="U4" s="7"/>
      <c r="V4" s="7"/>
    </row>
    <row r="6" spans="1:22" x14ac:dyDescent="0.2">
      <c r="C6" s="3" t="s">
        <v>1</v>
      </c>
    </row>
    <row r="7" spans="1:22" x14ac:dyDescent="0.2">
      <c r="A7" s="2" t="s">
        <v>0</v>
      </c>
      <c r="C7" s="8">
        <v>5</v>
      </c>
      <c r="F7" s="2" t="s">
        <v>3</v>
      </c>
      <c r="I7" s="9">
        <v>2</v>
      </c>
      <c r="K7" s="2" t="s">
        <v>18</v>
      </c>
      <c r="N7" s="9">
        <v>210</v>
      </c>
    </row>
    <row r="9" spans="1:22" x14ac:dyDescent="0.2">
      <c r="A9" s="2" t="s">
        <v>4</v>
      </c>
      <c r="C9" s="10">
        <f>C7*I7</f>
        <v>10</v>
      </c>
      <c r="F9" s="2" t="s">
        <v>2</v>
      </c>
      <c r="I9" s="11">
        <v>300</v>
      </c>
      <c r="K9" s="2" t="s">
        <v>51</v>
      </c>
      <c r="N9" s="32">
        <v>0.7</v>
      </c>
    </row>
    <row r="11" spans="1:22" x14ac:dyDescent="0.2">
      <c r="A11" s="2" t="s">
        <v>5</v>
      </c>
      <c r="C11" s="10">
        <f>I9*C9</f>
        <v>3000</v>
      </c>
      <c r="F11" s="2" t="s">
        <v>9</v>
      </c>
      <c r="I11" s="11">
        <f>I7*I9</f>
        <v>600</v>
      </c>
    </row>
    <row r="12" spans="1:22" x14ac:dyDescent="0.2">
      <c r="C12" s="10"/>
      <c r="I12" s="11"/>
    </row>
    <row r="13" spans="1:22" x14ac:dyDescent="0.2">
      <c r="A13" s="1" t="s">
        <v>57</v>
      </c>
      <c r="B13" s="1"/>
      <c r="C13" s="41" t="s">
        <v>17</v>
      </c>
      <c r="D13" s="42" t="s">
        <v>54</v>
      </c>
    </row>
    <row r="14" spans="1:22" x14ac:dyDescent="0.2">
      <c r="A14" s="1" t="s">
        <v>61</v>
      </c>
      <c r="B14" s="1"/>
      <c r="C14" s="41">
        <f>E41</f>
        <v>2724</v>
      </c>
      <c r="D14" s="42">
        <f>$C$11</f>
        <v>3000</v>
      </c>
    </row>
    <row r="15" spans="1:22" x14ac:dyDescent="0.2">
      <c r="A15" s="1" t="s">
        <v>62</v>
      </c>
      <c r="B15" s="1"/>
      <c r="C15" s="41">
        <f>M41</f>
        <v>2770.5</v>
      </c>
      <c r="D15" s="42">
        <f>D14</f>
        <v>3000</v>
      </c>
    </row>
    <row r="16" spans="1:22" x14ac:dyDescent="0.2">
      <c r="A16" s="1" t="s">
        <v>60</v>
      </c>
      <c r="B16" s="1"/>
      <c r="C16" s="41">
        <f>M45</f>
        <v>2944.65</v>
      </c>
      <c r="D16" s="42">
        <f>K46</f>
        <v>3129.15</v>
      </c>
    </row>
    <row r="17" spans="1:39" x14ac:dyDescent="0.2">
      <c r="A17" s="1" t="s">
        <v>58</v>
      </c>
      <c r="B17" s="1"/>
      <c r="C17" s="41">
        <f>R41</f>
        <v>2817.6</v>
      </c>
      <c r="D17" s="42">
        <f>D14</f>
        <v>3000</v>
      </c>
    </row>
    <row r="18" spans="1:39" x14ac:dyDescent="0.2">
      <c r="A18" s="1" t="s">
        <v>34</v>
      </c>
      <c r="B18" s="1"/>
      <c r="C18" s="41">
        <f>Z41</f>
        <v>2425.1999999999998</v>
      </c>
      <c r="D18" s="42">
        <f>D17</f>
        <v>3000</v>
      </c>
    </row>
    <row r="19" spans="1:39" x14ac:dyDescent="0.2">
      <c r="A19" s="1" t="s">
        <v>59</v>
      </c>
      <c r="B19" s="1"/>
      <c r="C19" s="41">
        <f>AD41</f>
        <v>2850</v>
      </c>
      <c r="D19" s="42">
        <f>AD43</f>
        <v>3090</v>
      </c>
    </row>
    <row r="20" spans="1:39" x14ac:dyDescent="0.2">
      <c r="A20" s="1" t="s">
        <v>55</v>
      </c>
      <c r="B20" s="1"/>
      <c r="C20" s="41">
        <f>AH41</f>
        <v>2688</v>
      </c>
      <c r="D20" s="42">
        <f>D14</f>
        <v>3000</v>
      </c>
    </row>
    <row r="21" spans="1:39" x14ac:dyDescent="0.2">
      <c r="A21" s="1" t="s">
        <v>66</v>
      </c>
      <c r="B21" s="1"/>
      <c r="C21" s="41">
        <f>AL41</f>
        <v>2679</v>
      </c>
      <c r="D21" s="42">
        <f>D20</f>
        <v>3000</v>
      </c>
    </row>
    <row r="22" spans="1:39" x14ac:dyDescent="0.2">
      <c r="A22" s="1" t="s">
        <v>67</v>
      </c>
      <c r="B22" s="1"/>
      <c r="C22" s="41">
        <f>AM41</f>
        <v>2724</v>
      </c>
      <c r="D22" s="42">
        <f>D21</f>
        <v>3000</v>
      </c>
    </row>
    <row r="23" spans="1:39" x14ac:dyDescent="0.2">
      <c r="A23" s="1"/>
      <c r="B23" s="1"/>
      <c r="C23" s="41"/>
      <c r="D23" s="42"/>
    </row>
    <row r="25" spans="1:39" s="1" customFormat="1" x14ac:dyDescent="0.2">
      <c r="A25" s="23" t="s">
        <v>44</v>
      </c>
      <c r="B25" s="24"/>
      <c r="C25" s="25"/>
      <c r="D25" s="26"/>
      <c r="E25" s="27"/>
      <c r="G25" s="23" t="s">
        <v>43</v>
      </c>
      <c r="H25" s="24"/>
      <c r="I25" s="24"/>
      <c r="J25" s="24"/>
      <c r="K25" s="24"/>
      <c r="L25" s="24"/>
      <c r="M25" s="28"/>
      <c r="O25" s="23" t="s">
        <v>42</v>
      </c>
      <c r="P25" s="24"/>
      <c r="Q25" s="29"/>
      <c r="R25" s="29"/>
      <c r="S25" s="29"/>
      <c r="T25" s="29"/>
      <c r="U25" s="29"/>
      <c r="V25" s="30"/>
      <c r="X25" s="23" t="s">
        <v>34</v>
      </c>
      <c r="Y25" s="24"/>
      <c r="Z25" s="28"/>
      <c r="AB25" s="23" t="s">
        <v>47</v>
      </c>
      <c r="AC25" s="24"/>
      <c r="AD25" s="28"/>
      <c r="AF25" s="23" t="s">
        <v>55</v>
      </c>
      <c r="AG25" s="24"/>
      <c r="AH25" s="28"/>
      <c r="AJ25" s="40" t="s">
        <v>63</v>
      </c>
      <c r="AK25" s="24"/>
      <c r="AL25" s="24"/>
      <c r="AM25" s="28"/>
    </row>
    <row r="26" spans="1:39" x14ac:dyDescent="0.2">
      <c r="A26" s="12"/>
      <c r="C26" s="13"/>
      <c r="D26" s="14"/>
      <c r="E26" s="15"/>
      <c r="G26" s="12"/>
      <c r="M26" s="16"/>
      <c r="O26" s="12" t="s">
        <v>23</v>
      </c>
      <c r="V26" s="17"/>
      <c r="X26" s="12"/>
      <c r="Z26" s="16"/>
      <c r="AB26" s="12"/>
      <c r="AD26" s="16"/>
      <c r="AF26" s="12"/>
      <c r="AH26" s="16"/>
      <c r="AJ26" s="12"/>
      <c r="AM26" s="16"/>
    </row>
    <row r="27" spans="1:39" ht="15.5" customHeight="1" x14ac:dyDescent="0.2">
      <c r="A27" s="12"/>
      <c r="C27" s="13"/>
      <c r="D27" s="14"/>
      <c r="E27" s="15"/>
      <c r="G27" s="12"/>
      <c r="M27" s="16"/>
      <c r="O27" s="12"/>
      <c r="Q27" s="48" t="s">
        <v>28</v>
      </c>
      <c r="R27" s="48"/>
      <c r="S27" s="48" t="s">
        <v>26</v>
      </c>
      <c r="T27" s="48"/>
      <c r="U27" s="48" t="s">
        <v>27</v>
      </c>
      <c r="V27" s="49"/>
      <c r="X27" s="12"/>
      <c r="Z27" s="16"/>
      <c r="AB27" s="12"/>
      <c r="AD27" s="16"/>
      <c r="AF27" s="12"/>
      <c r="AH27" s="16"/>
      <c r="AJ27" s="12"/>
      <c r="AM27" s="16"/>
    </row>
    <row r="28" spans="1:39" ht="15.5" customHeight="1" x14ac:dyDescent="0.2">
      <c r="A28" s="12" t="s">
        <v>6</v>
      </c>
      <c r="C28" s="13" t="s">
        <v>6</v>
      </c>
      <c r="D28" s="14"/>
      <c r="E28" s="15" t="s">
        <v>8</v>
      </c>
      <c r="G28" s="12"/>
      <c r="I28" s="2" t="s">
        <v>6</v>
      </c>
      <c r="K28" s="2" t="s">
        <v>22</v>
      </c>
      <c r="M28" s="16" t="s">
        <v>22</v>
      </c>
      <c r="O28" s="12"/>
      <c r="Q28" s="50" t="s">
        <v>25</v>
      </c>
      <c r="R28" s="50"/>
      <c r="S28" s="48" t="s">
        <v>25</v>
      </c>
      <c r="T28" s="48"/>
      <c r="U28" s="48" t="s">
        <v>25</v>
      </c>
      <c r="V28" s="49"/>
      <c r="X28" s="12"/>
      <c r="Z28" s="17"/>
      <c r="AB28" s="12"/>
      <c r="AD28" s="16"/>
      <c r="AF28" s="12"/>
      <c r="AH28" s="16"/>
      <c r="AJ28" s="12"/>
      <c r="AM28" s="16"/>
    </row>
    <row r="29" spans="1:39" x14ac:dyDescent="0.2">
      <c r="A29" s="12"/>
      <c r="C29" s="13" t="s">
        <v>19</v>
      </c>
      <c r="D29" s="14"/>
      <c r="E29" s="15" t="s">
        <v>19</v>
      </c>
      <c r="G29" s="12"/>
      <c r="I29" s="13" t="s">
        <v>19</v>
      </c>
      <c r="K29" s="13" t="s">
        <v>21</v>
      </c>
      <c r="M29" s="15" t="s">
        <v>19</v>
      </c>
      <c r="O29" s="12"/>
      <c r="Q29" s="2" t="s">
        <v>36</v>
      </c>
      <c r="R29" s="2" t="s">
        <v>37</v>
      </c>
      <c r="S29" s="2" t="s">
        <v>36</v>
      </c>
      <c r="T29" s="2" t="s">
        <v>37</v>
      </c>
      <c r="U29" s="2" t="s">
        <v>36</v>
      </c>
      <c r="V29" s="16" t="s">
        <v>37</v>
      </c>
      <c r="X29" s="12"/>
      <c r="Z29" s="22"/>
      <c r="AB29" s="12"/>
      <c r="AD29" s="16"/>
      <c r="AF29" s="12"/>
      <c r="AH29" s="16"/>
      <c r="AJ29" s="12"/>
      <c r="AL29" s="2" t="s">
        <v>64</v>
      </c>
      <c r="AM29" s="16" t="s">
        <v>65</v>
      </c>
    </row>
    <row r="30" spans="1:39" x14ac:dyDescent="0.2">
      <c r="A30" s="12"/>
      <c r="C30" s="13" t="s">
        <v>1</v>
      </c>
      <c r="D30" s="14"/>
      <c r="E30" s="15" t="s">
        <v>1</v>
      </c>
      <c r="G30" s="12"/>
      <c r="I30" s="13" t="s">
        <v>1</v>
      </c>
      <c r="J30" s="13"/>
      <c r="K30" s="13" t="s">
        <v>1</v>
      </c>
      <c r="L30" s="13"/>
      <c r="M30" s="15" t="s">
        <v>1</v>
      </c>
      <c r="O30" s="12"/>
      <c r="Q30" s="13" t="s">
        <v>1</v>
      </c>
      <c r="R30" s="13" t="s">
        <v>1</v>
      </c>
      <c r="S30" s="5" t="s">
        <v>1</v>
      </c>
      <c r="T30" s="5" t="s">
        <v>1</v>
      </c>
      <c r="U30" s="5" t="s">
        <v>1</v>
      </c>
      <c r="V30" s="17" t="s">
        <v>1</v>
      </c>
      <c r="X30" s="12"/>
      <c r="Z30" s="15" t="s">
        <v>1</v>
      </c>
      <c r="AB30" s="12"/>
      <c r="AD30" s="16"/>
      <c r="AF30" s="12"/>
      <c r="AH30" s="16"/>
      <c r="AJ30" s="12"/>
      <c r="AM30" s="16"/>
    </row>
    <row r="31" spans="1:39" x14ac:dyDescent="0.2">
      <c r="A31" s="12" t="s">
        <v>7</v>
      </c>
      <c r="C31" s="13">
        <f>199*1.2</f>
        <v>238.79999999999998</v>
      </c>
      <c r="D31" s="14"/>
      <c r="E31" s="15">
        <v>0</v>
      </c>
      <c r="G31" s="12" t="s">
        <v>7</v>
      </c>
      <c r="I31" s="13">
        <f>299.99*1.2</f>
        <v>359.988</v>
      </c>
      <c r="J31" s="13"/>
      <c r="K31" s="13">
        <v>0</v>
      </c>
      <c r="L31" s="13"/>
      <c r="M31" s="15">
        <v>0</v>
      </c>
      <c r="O31" s="12" t="s">
        <v>7</v>
      </c>
      <c r="Q31" s="13">
        <f>(9*1.2*0.8*12)</f>
        <v>103.67999999999998</v>
      </c>
      <c r="R31" s="13">
        <f>(9*1.2*0.8*10)</f>
        <v>86.399999999999991</v>
      </c>
      <c r="S31" s="13">
        <f>(19*1.2*0.8*12)</f>
        <v>218.88000000000002</v>
      </c>
      <c r="T31" s="13">
        <f>(19*1.2*0.8*10)</f>
        <v>182.40000000000003</v>
      </c>
      <c r="U31" s="13">
        <f>(39*1.2*0.8*12)</f>
        <v>449.28</v>
      </c>
      <c r="V31" s="15">
        <f>(39*1.2*0.8*10)</f>
        <v>374.4</v>
      </c>
      <c r="X31" s="12" t="s">
        <v>45</v>
      </c>
      <c r="Z31" s="15">
        <v>0</v>
      </c>
      <c r="AB31" s="12" t="s">
        <v>48</v>
      </c>
      <c r="AD31" s="34">
        <v>0</v>
      </c>
      <c r="AF31" s="12" t="s">
        <v>7</v>
      </c>
      <c r="AH31" s="16">
        <f>15*12*1.2</f>
        <v>216</v>
      </c>
      <c r="AJ31" s="12" t="s">
        <v>7</v>
      </c>
      <c r="AL31" s="2">
        <f>15*12*0.75</f>
        <v>135</v>
      </c>
      <c r="AM31" s="16">
        <f>20*12*0.75</f>
        <v>180</v>
      </c>
    </row>
    <row r="32" spans="1:39" x14ac:dyDescent="0.2">
      <c r="A32" s="12" t="s">
        <v>24</v>
      </c>
      <c r="C32" s="13">
        <v>0</v>
      </c>
      <c r="D32" s="14"/>
      <c r="E32" s="15">
        <v>0</v>
      </c>
      <c r="G32" s="12" t="s">
        <v>20</v>
      </c>
      <c r="I32" s="13">
        <v>0</v>
      </c>
      <c r="J32" s="13"/>
      <c r="K32" s="13">
        <v>0</v>
      </c>
      <c r="L32" s="13"/>
      <c r="M32" s="15">
        <f>IF(N7&gt;900,60,IF(N7&gt;600,55,IF(N7&gt;300,50,IF(N7&gt;99,45,40))))</f>
        <v>45</v>
      </c>
      <c r="O32" s="12"/>
      <c r="Q32" s="13">
        <v>0</v>
      </c>
      <c r="R32" s="13">
        <v>0</v>
      </c>
      <c r="S32" s="13">
        <v>0</v>
      </c>
      <c r="T32" s="13">
        <v>0</v>
      </c>
      <c r="U32" s="13">
        <v>0</v>
      </c>
      <c r="V32" s="15">
        <v>0</v>
      </c>
      <c r="X32" s="12" t="s">
        <v>41</v>
      </c>
      <c r="Z32" s="15">
        <v>0</v>
      </c>
      <c r="AB32" s="12" t="s">
        <v>21</v>
      </c>
      <c r="AD32" s="34">
        <v>0</v>
      </c>
      <c r="AF32" s="12" t="s">
        <v>56</v>
      </c>
      <c r="AH32" s="16"/>
      <c r="AJ32" s="12"/>
      <c r="AM32" s="16"/>
    </row>
    <row r="33" spans="1:39" x14ac:dyDescent="0.2">
      <c r="A33" s="12" t="s">
        <v>11</v>
      </c>
      <c r="C33" s="18">
        <v>0</v>
      </c>
      <c r="D33" s="14" t="s">
        <v>10</v>
      </c>
      <c r="E33" s="19">
        <f>0.25*I11*1.2</f>
        <v>180</v>
      </c>
      <c r="G33" s="12" t="s">
        <v>11</v>
      </c>
      <c r="I33" s="18">
        <f>0.015*C11</f>
        <v>45</v>
      </c>
      <c r="J33" s="13"/>
      <c r="K33" s="13">
        <f>0.0295*$C$11</f>
        <v>88.5</v>
      </c>
      <c r="L33" s="13"/>
      <c r="M33" s="15">
        <f>0.0295*$C$11</f>
        <v>88.5</v>
      </c>
      <c r="O33" s="12" t="s">
        <v>11</v>
      </c>
      <c r="Q33" s="18">
        <v>0</v>
      </c>
      <c r="R33" s="18">
        <v>0</v>
      </c>
      <c r="S33" s="18">
        <v>0</v>
      </c>
      <c r="T33" s="18">
        <v>0</v>
      </c>
      <c r="U33" s="18">
        <v>0</v>
      </c>
      <c r="V33" s="19">
        <v>0</v>
      </c>
      <c r="X33" s="12" t="s">
        <v>11</v>
      </c>
      <c r="Z33" s="19">
        <f>($I$11*0.49+3.5%*$C$11)*1.2</f>
        <v>478.79999999999995</v>
      </c>
      <c r="AB33" s="12" t="s">
        <v>11</v>
      </c>
      <c r="AD33" s="35">
        <f>5%*C11</f>
        <v>150</v>
      </c>
      <c r="AF33" s="12"/>
      <c r="AH33" s="39"/>
      <c r="AJ33" s="12" t="s">
        <v>11</v>
      </c>
      <c r="AL33" s="43">
        <f>0.03*C11</f>
        <v>90</v>
      </c>
      <c r="AM33" s="39"/>
    </row>
    <row r="34" spans="1:39" x14ac:dyDescent="0.2">
      <c r="A34" s="12" t="s">
        <v>16</v>
      </c>
      <c r="C34" s="13">
        <f>SUM(C31:C33)</f>
        <v>238.79999999999998</v>
      </c>
      <c r="D34" s="14"/>
      <c r="E34" s="15">
        <f>SUM(E31:E33)</f>
        <v>180</v>
      </c>
      <c r="G34" s="12" t="s">
        <v>16</v>
      </c>
      <c r="I34" s="13">
        <f>SUM(I31:I33)</f>
        <v>404.988</v>
      </c>
      <c r="J34" s="13"/>
      <c r="K34" s="13">
        <f>SUM(K31:K33)</f>
        <v>88.5</v>
      </c>
      <c r="L34" s="13"/>
      <c r="M34" s="15">
        <f>SUM(M31:M33)</f>
        <v>133.5</v>
      </c>
      <c r="O34" s="12" t="s">
        <v>16</v>
      </c>
      <c r="Q34" s="13">
        <f t="shared" ref="Q34:V34" si="0">SUM(Q31:Q33)</f>
        <v>103.67999999999998</v>
      </c>
      <c r="R34" s="13">
        <f t="shared" si="0"/>
        <v>86.399999999999991</v>
      </c>
      <c r="S34" s="13">
        <f t="shared" si="0"/>
        <v>218.88000000000002</v>
      </c>
      <c r="T34" s="13">
        <f t="shared" si="0"/>
        <v>182.40000000000003</v>
      </c>
      <c r="U34" s="13">
        <f t="shared" si="0"/>
        <v>449.28</v>
      </c>
      <c r="V34" s="15">
        <f t="shared" si="0"/>
        <v>374.4</v>
      </c>
      <c r="X34" s="12"/>
      <c r="Z34" s="15">
        <f>SUM(Z31:Z33)</f>
        <v>478.79999999999995</v>
      </c>
      <c r="AB34" s="12"/>
      <c r="AD34" s="34">
        <f>SUM(AD31:AD33)</f>
        <v>150</v>
      </c>
      <c r="AF34" s="12"/>
      <c r="AH34" s="16">
        <f>SUM(AH31:AH33)</f>
        <v>216</v>
      </c>
      <c r="AJ34" s="12"/>
      <c r="AL34" s="2">
        <f>SUM(AL31:AL33)</f>
        <v>225</v>
      </c>
      <c r="AM34" s="16">
        <f>SUM(AM31:AM33)</f>
        <v>180</v>
      </c>
    </row>
    <row r="35" spans="1:39" x14ac:dyDescent="0.2">
      <c r="A35" s="12"/>
      <c r="C35" s="13"/>
      <c r="D35" s="14"/>
      <c r="E35" s="15"/>
      <c r="G35" s="12"/>
      <c r="I35" s="13"/>
      <c r="J35" s="13"/>
      <c r="K35" s="13"/>
      <c r="L35" s="13"/>
      <c r="M35" s="15"/>
      <c r="O35" s="12"/>
      <c r="Q35" s="13"/>
      <c r="R35" s="13"/>
      <c r="S35" s="13"/>
      <c r="T35" s="13"/>
      <c r="U35" s="13"/>
      <c r="V35" s="15"/>
      <c r="X35" s="12"/>
      <c r="Z35" s="15"/>
      <c r="AB35" s="12" t="s">
        <v>49</v>
      </c>
      <c r="AC35" s="2">
        <f>0.15*I11</f>
        <v>90</v>
      </c>
      <c r="AD35" s="34"/>
      <c r="AF35" s="12"/>
      <c r="AH35" s="16"/>
      <c r="AJ35" s="12"/>
      <c r="AM35" s="16"/>
    </row>
    <row r="36" spans="1:39" x14ac:dyDescent="0.2">
      <c r="A36" s="12" t="s">
        <v>12</v>
      </c>
      <c r="C36" s="13"/>
      <c r="D36" s="14"/>
      <c r="E36" s="15"/>
      <c r="G36" s="12" t="s">
        <v>12</v>
      </c>
      <c r="I36" s="13"/>
      <c r="J36" s="13"/>
      <c r="K36" s="13"/>
      <c r="L36" s="13"/>
      <c r="M36" s="15"/>
      <c r="O36" s="12" t="s">
        <v>12</v>
      </c>
      <c r="Q36" s="13"/>
      <c r="R36" s="13"/>
      <c r="S36" s="13"/>
      <c r="T36" s="13"/>
      <c r="U36" s="13"/>
      <c r="V36" s="15"/>
      <c r="X36" s="12" t="s">
        <v>12</v>
      </c>
      <c r="Z36" s="15"/>
      <c r="AB36" s="12" t="s">
        <v>50</v>
      </c>
      <c r="AD36" s="34"/>
      <c r="AF36" s="12" t="s">
        <v>12</v>
      </c>
      <c r="AH36" s="15"/>
      <c r="AJ36" s="12" t="s">
        <v>12</v>
      </c>
      <c r="AL36" s="13"/>
      <c r="AM36" s="15"/>
    </row>
    <row r="37" spans="1:39" x14ac:dyDescent="0.2">
      <c r="A37" s="12" t="s">
        <v>13</v>
      </c>
      <c r="C37" s="13">
        <f>0.2*$I$9</f>
        <v>60</v>
      </c>
      <c r="D37" s="14"/>
      <c r="E37" s="15">
        <f>0.2*$I$9</f>
        <v>60</v>
      </c>
      <c r="G37" s="12" t="s">
        <v>13</v>
      </c>
      <c r="I37" s="13">
        <f>0.2*$I$9</f>
        <v>60</v>
      </c>
      <c r="J37" s="13"/>
      <c r="K37" s="13">
        <f>0.2*$I$9</f>
        <v>60</v>
      </c>
      <c r="L37" s="13"/>
      <c r="M37" s="15">
        <f>0.2*$I$9</f>
        <v>60</v>
      </c>
      <c r="O37" s="12" t="s">
        <v>13</v>
      </c>
      <c r="Q37" s="13">
        <f t="shared" ref="Q37:V37" si="1">0.2*$I$9</f>
        <v>60</v>
      </c>
      <c r="R37" s="13">
        <f t="shared" si="1"/>
        <v>60</v>
      </c>
      <c r="S37" s="13">
        <f t="shared" si="1"/>
        <v>60</v>
      </c>
      <c r="T37" s="13">
        <f t="shared" si="1"/>
        <v>60</v>
      </c>
      <c r="U37" s="13">
        <f t="shared" si="1"/>
        <v>60</v>
      </c>
      <c r="V37" s="15">
        <f t="shared" si="1"/>
        <v>60</v>
      </c>
      <c r="X37" s="12" t="s">
        <v>13</v>
      </c>
      <c r="Z37" s="15">
        <f>0.2*$I$9</f>
        <v>60</v>
      </c>
      <c r="AB37" s="12"/>
      <c r="AD37" s="34"/>
      <c r="AF37" s="12" t="s">
        <v>13</v>
      </c>
      <c r="AH37" s="15">
        <f>0.2*$I$9</f>
        <v>60</v>
      </c>
      <c r="AJ37" s="12" t="s">
        <v>13</v>
      </c>
      <c r="AL37" s="13">
        <f>0.2*$I$9</f>
        <v>60</v>
      </c>
      <c r="AM37" s="15">
        <f>0.2*$I$9</f>
        <v>60</v>
      </c>
    </row>
    <row r="38" spans="1:39" x14ac:dyDescent="0.2">
      <c r="A38" s="12" t="s">
        <v>14</v>
      </c>
      <c r="C38" s="18">
        <f>0.012*$C$11</f>
        <v>36</v>
      </c>
      <c r="D38" s="14"/>
      <c r="E38" s="19">
        <f>0.012*$C$11</f>
        <v>36</v>
      </c>
      <c r="G38" s="12" t="s">
        <v>14</v>
      </c>
      <c r="I38" s="18">
        <f>0.012*$C$11</f>
        <v>36</v>
      </c>
      <c r="J38" s="13"/>
      <c r="K38" s="18">
        <f>0.012*$C$11</f>
        <v>36</v>
      </c>
      <c r="L38" s="13"/>
      <c r="M38" s="19">
        <f>0.012*$C$11</f>
        <v>36</v>
      </c>
      <c r="O38" s="12" t="s">
        <v>14</v>
      </c>
      <c r="Q38" s="18">
        <f t="shared" ref="Q38:V38" si="2">0.012*$C$11</f>
        <v>36</v>
      </c>
      <c r="R38" s="18">
        <f t="shared" si="2"/>
        <v>36</v>
      </c>
      <c r="S38" s="18">
        <f t="shared" si="2"/>
        <v>36</v>
      </c>
      <c r="T38" s="18">
        <f t="shared" si="2"/>
        <v>36</v>
      </c>
      <c r="U38" s="18">
        <f t="shared" si="2"/>
        <v>36</v>
      </c>
      <c r="V38" s="19">
        <f t="shared" si="2"/>
        <v>36</v>
      </c>
      <c r="X38" s="12" t="s">
        <v>14</v>
      </c>
      <c r="Z38" s="19">
        <f>0.012*$C$11</f>
        <v>36</v>
      </c>
      <c r="AB38" s="12"/>
      <c r="AD38" s="34"/>
      <c r="AF38" s="12" t="s">
        <v>14</v>
      </c>
      <c r="AH38" s="19">
        <f>0.012*$C$11</f>
        <v>36</v>
      </c>
      <c r="AJ38" s="12" t="s">
        <v>14</v>
      </c>
      <c r="AL38" s="18">
        <f>0.012*$C$11</f>
        <v>36</v>
      </c>
      <c r="AM38" s="19">
        <f>0.012*$C$11</f>
        <v>36</v>
      </c>
    </row>
    <row r="39" spans="1:39" x14ac:dyDescent="0.2">
      <c r="A39" s="12" t="s">
        <v>15</v>
      </c>
      <c r="C39" s="13">
        <f>SUM(C37:C38)</f>
        <v>96</v>
      </c>
      <c r="D39" s="14"/>
      <c r="E39" s="15">
        <f>SUM(E37:E38)</f>
        <v>96</v>
      </c>
      <c r="G39" s="12" t="s">
        <v>15</v>
      </c>
      <c r="I39" s="13">
        <f>SUM(I37:I38)</f>
        <v>96</v>
      </c>
      <c r="J39" s="13"/>
      <c r="K39" s="13">
        <f>SUM(K37:K38)</f>
        <v>96</v>
      </c>
      <c r="L39" s="13"/>
      <c r="M39" s="15">
        <f>SUM(M37:M38)</f>
        <v>96</v>
      </c>
      <c r="O39" s="12" t="s">
        <v>15</v>
      </c>
      <c r="Q39" s="13">
        <f t="shared" ref="Q39:V39" si="3">SUM(Q37:Q38)</f>
        <v>96</v>
      </c>
      <c r="R39" s="13">
        <f t="shared" si="3"/>
        <v>96</v>
      </c>
      <c r="S39" s="13">
        <f t="shared" si="3"/>
        <v>96</v>
      </c>
      <c r="T39" s="13">
        <f t="shared" si="3"/>
        <v>96</v>
      </c>
      <c r="U39" s="13">
        <f t="shared" si="3"/>
        <v>96</v>
      </c>
      <c r="V39" s="15">
        <f t="shared" si="3"/>
        <v>96</v>
      </c>
      <c r="X39" s="12" t="s">
        <v>15</v>
      </c>
      <c r="Z39" s="15">
        <f>SUM(Z37:Z38)</f>
        <v>96</v>
      </c>
      <c r="AB39" s="12"/>
      <c r="AD39" s="34"/>
      <c r="AF39" s="12" t="s">
        <v>15</v>
      </c>
      <c r="AH39" s="15">
        <f>SUM(AH37:AH38)</f>
        <v>96</v>
      </c>
      <c r="AJ39" s="12" t="s">
        <v>15</v>
      </c>
      <c r="AL39" s="13">
        <f>SUM(AL37:AL38)</f>
        <v>96</v>
      </c>
      <c r="AM39" s="15">
        <f>SUM(AM37:AM38)</f>
        <v>96</v>
      </c>
    </row>
    <row r="40" spans="1:39" x14ac:dyDescent="0.2">
      <c r="A40" s="12"/>
      <c r="C40" s="13"/>
      <c r="D40" s="14"/>
      <c r="E40" s="15"/>
      <c r="G40" s="12"/>
      <c r="I40" s="13"/>
      <c r="J40" s="13"/>
      <c r="K40" s="13"/>
      <c r="L40" s="13"/>
      <c r="M40" s="15"/>
      <c r="O40" s="12"/>
      <c r="Q40" s="13"/>
      <c r="R40" s="13"/>
      <c r="S40" s="13"/>
      <c r="T40" s="13"/>
      <c r="U40" s="13"/>
      <c r="V40" s="15"/>
      <c r="X40" s="12"/>
      <c r="Z40" s="15"/>
      <c r="AB40" s="12"/>
      <c r="AD40" s="34"/>
      <c r="AF40" s="12"/>
      <c r="AH40" s="15"/>
      <c r="AJ40" s="12"/>
      <c r="AL40" s="13"/>
      <c r="AM40" s="15"/>
    </row>
    <row r="41" spans="1:39" ht="15" thickBot="1" x14ac:dyDescent="0.25">
      <c r="A41" s="12" t="s">
        <v>17</v>
      </c>
      <c r="C41" s="20">
        <f>$C$11-C34-C39</f>
        <v>2665.2</v>
      </c>
      <c r="D41" s="14"/>
      <c r="E41" s="21">
        <f>$C$11-E34-E39</f>
        <v>2724</v>
      </c>
      <c r="G41" s="12" t="s">
        <v>17</v>
      </c>
      <c r="I41" s="20">
        <f>$C$11-I34-I39</f>
        <v>2499.0120000000002</v>
      </c>
      <c r="J41" s="13"/>
      <c r="K41" s="20">
        <f>$C$11-K34-K39</f>
        <v>2815.5</v>
      </c>
      <c r="L41" s="13"/>
      <c r="M41" s="21">
        <f>$C$11-M34-M39</f>
        <v>2770.5</v>
      </c>
      <c r="O41" s="12" t="s">
        <v>17</v>
      </c>
      <c r="Q41" s="20">
        <f t="shared" ref="Q41:V41" si="4">$C$11-Q34-Q39</f>
        <v>2800.32</v>
      </c>
      <c r="R41" s="20">
        <f t="shared" si="4"/>
        <v>2817.6</v>
      </c>
      <c r="S41" s="20">
        <f t="shared" si="4"/>
        <v>2685.12</v>
      </c>
      <c r="T41" s="20">
        <f t="shared" si="4"/>
        <v>2721.6</v>
      </c>
      <c r="U41" s="20">
        <f t="shared" si="4"/>
        <v>2454.7200000000003</v>
      </c>
      <c r="V41" s="21">
        <f t="shared" si="4"/>
        <v>2529.6</v>
      </c>
      <c r="X41" s="12" t="s">
        <v>17</v>
      </c>
      <c r="Z41" s="21">
        <f>$C$11-Z34-Z39</f>
        <v>2425.1999999999998</v>
      </c>
      <c r="AB41" s="12" t="s">
        <v>17</v>
      </c>
      <c r="AD41" s="36">
        <f>C11-AD33</f>
        <v>2850</v>
      </c>
      <c r="AF41" s="12" t="s">
        <v>17</v>
      </c>
      <c r="AH41" s="21">
        <f>$C$11-AH34-AH39</f>
        <v>2688</v>
      </c>
      <c r="AJ41" s="12" t="s">
        <v>17</v>
      </c>
      <c r="AL41" s="20">
        <f>$C$11-AL34-AL39</f>
        <v>2679</v>
      </c>
      <c r="AM41" s="21">
        <f>$C$11-AM34-AM39</f>
        <v>2724</v>
      </c>
    </row>
    <row r="42" spans="1:39" ht="15" thickTop="1" x14ac:dyDescent="0.2">
      <c r="A42" s="12"/>
      <c r="C42" s="13"/>
      <c r="D42" s="14"/>
      <c r="E42" s="15"/>
      <c r="G42" s="12"/>
      <c r="I42" s="13"/>
      <c r="J42" s="13"/>
      <c r="K42" s="13"/>
      <c r="L42" s="13"/>
      <c r="M42" s="15"/>
      <c r="O42" s="12"/>
      <c r="Q42" s="13"/>
      <c r="R42" s="13"/>
      <c r="S42" s="13"/>
      <c r="T42" s="13"/>
      <c r="U42" s="13"/>
      <c r="V42" s="15"/>
      <c r="X42" s="12"/>
      <c r="Z42" s="15"/>
      <c r="AB42" s="12"/>
      <c r="AD42" s="34"/>
      <c r="AF42" s="12"/>
      <c r="AH42" s="16"/>
      <c r="AJ42" s="12"/>
      <c r="AM42" s="16"/>
    </row>
    <row r="43" spans="1:39" x14ac:dyDescent="0.2">
      <c r="A43" s="12"/>
      <c r="C43" s="13"/>
      <c r="D43" s="14"/>
      <c r="E43" s="15"/>
      <c r="G43" s="12"/>
      <c r="I43" s="13"/>
      <c r="J43" s="13"/>
      <c r="K43" s="13"/>
      <c r="L43" s="13"/>
      <c r="M43" s="15"/>
      <c r="O43" s="12"/>
      <c r="Q43" s="13"/>
      <c r="R43" s="13"/>
      <c r="S43" s="13"/>
      <c r="T43" s="13"/>
      <c r="U43" s="13"/>
      <c r="V43" s="15"/>
      <c r="X43" s="12"/>
      <c r="Z43" s="15"/>
      <c r="AB43" s="12" t="s">
        <v>54</v>
      </c>
      <c r="AD43" s="34">
        <f>C11+AC35</f>
        <v>3090</v>
      </c>
      <c r="AF43" s="12"/>
      <c r="AH43" s="16"/>
      <c r="AJ43" s="12"/>
      <c r="AM43" s="16"/>
    </row>
    <row r="44" spans="1:39" x14ac:dyDescent="0.2">
      <c r="A44" s="12"/>
      <c r="C44" s="13"/>
      <c r="D44" s="14"/>
      <c r="E44" s="15"/>
      <c r="G44" s="12" t="s">
        <v>52</v>
      </c>
      <c r="I44" s="13"/>
      <c r="J44" s="13"/>
      <c r="K44" s="13"/>
      <c r="L44" s="13"/>
      <c r="M44" s="15"/>
      <c r="O44" s="12"/>
      <c r="Q44" s="13"/>
      <c r="R44" s="13"/>
      <c r="S44" s="13"/>
      <c r="T44" s="13"/>
      <c r="U44" s="13"/>
      <c r="V44" s="15"/>
      <c r="X44" s="12"/>
      <c r="Z44" s="15"/>
      <c r="AB44" s="12"/>
      <c r="AD44" s="34"/>
      <c r="AF44" s="12"/>
      <c r="AH44" s="16"/>
      <c r="AJ44" s="12"/>
      <c r="AM44" s="16"/>
    </row>
    <row r="45" spans="1:39" ht="15" thickBot="1" x14ac:dyDescent="0.25">
      <c r="A45" s="12"/>
      <c r="C45" s="13"/>
      <c r="D45" s="14"/>
      <c r="E45" s="15"/>
      <c r="G45" s="12" t="s">
        <v>17</v>
      </c>
      <c r="I45" s="20">
        <f>$C$11-(1-$N$9)*(I39+I33)-I31</f>
        <v>2597.712</v>
      </c>
      <c r="J45" s="13"/>
      <c r="K45" s="20">
        <f>$C$11-(1-$N$9)*(K39+K33)</f>
        <v>2944.65</v>
      </c>
      <c r="L45" s="13"/>
      <c r="M45" s="21">
        <f>$C$11-(1-$N$9)*(M39+M33)</f>
        <v>2944.65</v>
      </c>
      <c r="O45" s="12"/>
      <c r="Q45" s="13"/>
      <c r="R45" s="13"/>
      <c r="S45" s="13"/>
      <c r="T45" s="13"/>
      <c r="U45" s="13"/>
      <c r="V45" s="15"/>
      <c r="X45" s="12"/>
      <c r="Z45" s="15"/>
      <c r="AB45" s="12"/>
      <c r="AD45" s="34"/>
      <c r="AF45" s="12"/>
      <c r="AH45" s="16"/>
      <c r="AJ45" s="12"/>
      <c r="AM45" s="16"/>
    </row>
    <row r="46" spans="1:39" ht="15" thickTop="1" x14ac:dyDescent="0.2">
      <c r="A46" s="12"/>
      <c r="C46" s="13"/>
      <c r="D46" s="14"/>
      <c r="E46" s="15"/>
      <c r="G46" s="33" t="s">
        <v>53</v>
      </c>
      <c r="I46" s="31">
        <f>$C$11+$N$9*(I39+I33)</f>
        <v>3098.7</v>
      </c>
      <c r="K46" s="31">
        <f>$C$11+$N$9*(K39+K33)</f>
        <v>3129.15</v>
      </c>
      <c r="M46" s="31">
        <f>$C$11+$N$9*(M39+M33+M32)</f>
        <v>3160.65</v>
      </c>
      <c r="O46" s="12"/>
      <c r="V46" s="17"/>
      <c r="X46" s="12"/>
      <c r="Z46" s="17"/>
      <c r="AB46" s="12"/>
      <c r="AD46" s="16"/>
      <c r="AF46" s="12"/>
      <c r="AH46" s="16"/>
      <c r="AJ46" s="12"/>
      <c r="AM46" s="16"/>
    </row>
    <row r="47" spans="1:39" x14ac:dyDescent="0.2">
      <c r="C47" s="13">
        <f>0.2%*$C$11</f>
        <v>6</v>
      </c>
      <c r="D47" s="14"/>
      <c r="E47" s="15">
        <f>0.2%*$C$11</f>
        <v>6</v>
      </c>
      <c r="G47" s="12" t="s">
        <v>32</v>
      </c>
      <c r="M47" s="16"/>
      <c r="O47" s="12" t="s">
        <v>33</v>
      </c>
      <c r="Q47" s="13">
        <f t="shared" ref="Q47:V47" si="5">0.2%*$C$11</f>
        <v>6</v>
      </c>
      <c r="R47" s="13">
        <f t="shared" si="5"/>
        <v>6</v>
      </c>
      <c r="S47" s="13">
        <f t="shared" si="5"/>
        <v>6</v>
      </c>
      <c r="T47" s="13">
        <f t="shared" si="5"/>
        <v>6</v>
      </c>
      <c r="U47" s="13">
        <f t="shared" si="5"/>
        <v>6</v>
      </c>
      <c r="V47" s="15">
        <f t="shared" si="5"/>
        <v>6</v>
      </c>
      <c r="X47" s="12" t="s">
        <v>40</v>
      </c>
      <c r="Z47" s="15">
        <f>0.2%*$C$11</f>
        <v>6</v>
      </c>
      <c r="AB47" s="12"/>
      <c r="AD47" s="16"/>
      <c r="AF47" s="12"/>
      <c r="AH47" s="16"/>
      <c r="AJ47" s="12"/>
      <c r="AM47" s="16"/>
    </row>
    <row r="48" spans="1:39" ht="95" customHeight="1" x14ac:dyDescent="0.2">
      <c r="A48" s="45" t="s">
        <v>39</v>
      </c>
      <c r="B48" s="51"/>
      <c r="C48" s="51"/>
      <c r="D48" s="51"/>
      <c r="E48" s="52"/>
      <c r="G48" s="45" t="s">
        <v>29</v>
      </c>
      <c r="H48" s="51"/>
      <c r="I48" s="51"/>
      <c r="J48" s="51"/>
      <c r="K48" s="51"/>
      <c r="L48" s="51"/>
      <c r="M48" s="52"/>
      <c r="O48" s="45" t="s">
        <v>38</v>
      </c>
      <c r="P48" s="51"/>
      <c r="Q48" s="51"/>
      <c r="R48" s="51"/>
      <c r="S48" s="51"/>
      <c r="T48" s="51"/>
      <c r="U48" s="51"/>
      <c r="V48" s="52"/>
      <c r="X48" s="45" t="s">
        <v>35</v>
      </c>
      <c r="Y48" s="46"/>
      <c r="Z48" s="47"/>
      <c r="AB48" s="37"/>
      <c r="AC48" s="38"/>
      <c r="AD48" s="39"/>
      <c r="AF48" s="37"/>
      <c r="AG48" s="38"/>
      <c r="AH48" s="39"/>
      <c r="AJ48" s="37"/>
      <c r="AK48" s="38"/>
      <c r="AL48" s="38"/>
      <c r="AM48" s="39"/>
    </row>
  </sheetData>
  <mergeCells count="13">
    <mergeCell ref="A2:G2"/>
    <mergeCell ref="A3:G3"/>
    <mergeCell ref="X48:Z48"/>
    <mergeCell ref="U27:V27"/>
    <mergeCell ref="S27:T27"/>
    <mergeCell ref="Q27:R27"/>
    <mergeCell ref="Q28:R28"/>
    <mergeCell ref="S28:T28"/>
    <mergeCell ref="U28:V28"/>
    <mergeCell ref="A4:G4"/>
    <mergeCell ref="A48:E48"/>
    <mergeCell ref="G48:M48"/>
    <mergeCell ref="O48:V4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DAA16-77C5-754F-8C14-8397C095A1E4}">
  <dimension ref="A1"/>
  <sheetViews>
    <sheetView workbookViewId="0"/>
  </sheetViews>
  <sheetFormatPr baseColWidth="10" defaultRowHeight="16"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2020-02-12T18:48:06Z</dcterms:created>
  <dcterms:modified xsi:type="dcterms:W3CDTF">2022-10-06T17:56:27Z</dcterms:modified>
</cp:coreProperties>
</file>